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27" i="1"/>
  <c r="N33"/>
  <c r="D32"/>
  <c r="N32" s="1"/>
  <c r="D31"/>
  <c r="N30"/>
  <c r="N25"/>
  <c r="N26"/>
  <c r="N24"/>
  <c r="D23"/>
  <c r="H23" s="1"/>
  <c r="I23" s="1"/>
  <c r="J23" s="1"/>
  <c r="N22"/>
  <c r="N21"/>
  <c r="N20"/>
  <c r="N9"/>
  <c r="N10"/>
  <c r="N11"/>
  <c r="N12"/>
  <c r="N13"/>
  <c r="N14"/>
  <c r="N15"/>
  <c r="N16"/>
  <c r="N17"/>
  <c r="N18"/>
  <c r="N19"/>
  <c r="N8"/>
  <c r="H31"/>
  <c r="I31" s="1"/>
  <c r="N31"/>
  <c r="N23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M22" s="1"/>
  <c r="L21"/>
  <c r="M21" s="1"/>
  <c r="L20"/>
  <c r="H36"/>
  <c r="I36" s="1"/>
  <c r="I30"/>
  <c r="J30" s="1"/>
  <c r="A32"/>
  <c r="H8"/>
  <c r="I8"/>
  <c r="J8" s="1"/>
  <c r="H9"/>
  <c r="I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/>
  <c r="H32" l="1"/>
  <c r="I32" s="1"/>
  <c r="J32" s="1"/>
  <c r="J33" s="1"/>
  <c r="H27"/>
  <c r="J31"/>
  <c r="I33"/>
  <c r="J9"/>
  <c r="J27" s="1"/>
  <c r="I27"/>
  <c r="J36"/>
  <c r="N34" l="1"/>
  <c r="N37" s="1"/>
  <c r="J34"/>
  <c r="J37" s="1"/>
  <c r="G27"/>
  <c r="I34"/>
  <c r="G34" l="1"/>
  <c r="G37" s="1"/>
  <c r="I37"/>
</calcChain>
</file>

<file path=xl/sharedStrings.xml><?xml version="1.0" encoding="utf-8"?>
<sst xmlns="http://schemas.openxmlformats.org/spreadsheetml/2006/main" count="104" uniqueCount="66">
  <si>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</si>
  <si>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</si>
  <si>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</si>
  <si>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</si>
  <si>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</si>
  <si>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</si>
  <si>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</si>
  <si>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</si>
  <si>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</si>
  <si>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</si>
  <si>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</si>
  <si>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</si>
  <si>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</si>
  <si>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</si>
  <si>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</si>
  <si>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</si>
  <si>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</si>
  <si>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</si>
  <si>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</si>
  <si>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</si>
  <si>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</si>
  <si>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</si>
  <si>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</si>
  <si>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</si>
  <si>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</si>
  <si>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</si>
  <si>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</si>
  <si>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</si>
  <si>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</si>
  <si>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</si>
  <si>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</si>
  <si>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</si>
  <si>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</si>
  <si>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</si>
  <si>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</si>
  <si>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</si>
  <si>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</si>
  <si>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</si>
  <si>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</si>
  <si>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</si>
  <si>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</si>
  <si>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</si>
  <si>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</si>
  <si>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</si>
  <si>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</si>
  <si>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</si>
  <si>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</si>
  <si>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общ. пл</t>
  </si>
  <si>
    <t>убрать при печати</t>
  </si>
  <si>
    <t xml:space="preserve">Площадь ОИ </t>
  </si>
  <si>
    <t>г. Рязань ул. Новаторов д. 15 к. 1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</si>
  <si>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</si>
  <si>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</si>
  <si>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</si>
  <si>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</si>
  <si>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</si>
  <si>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постоянно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</si>
  <si>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</si>
  <si>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</si>
  <si>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</si>
  <si>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</si>
  <si>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</si>
  <si>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Тариф с КРСОИ  </t>
  </si>
  <si>
    <t xml:space="preserve">Подметание прилегающей территории, содержание и уборка контейнерных площадок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</si>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</sst>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4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" fontId="6" fillId="3" borderId="2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164" fontId="10" fillId="0" borderId="8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0" fillId="0" borderId="0" xfId="0" applyAlignment="1"/>
    <xf numFmtId="0" fontId="4" fillId="0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topLeftCell="A19" zoomScale="70" zoomScaleNormal="70" workbookViewId="0">
      <selection activeCell="T30" sqref="T30"/>
    </sheetView>
  </sheetViews>
  <sheetFormatPr defaultColWidth="8.85546875" defaultRowHeight="15.75"/>
  <cols>
    <col min="1" max="1" width="8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27" customWidth="1"/>
    <col min="7" max="7" width="12.85546875" style="27" hidden="1" customWidth="1"/>
    <col min="8" max="9" width="15.5703125" style="1" hidden="1" customWidth="1"/>
    <col min="10" max="10" width="18.42578125" style="35" hidden="1" customWidth="1"/>
    <col min="11" max="11" width="16" style="35" hidden="1" customWidth="1"/>
    <col min="12" max="12" width="20.85546875" style="35" hidden="1" customWidth="1"/>
    <col min="13" max="13" width="18.28515625" style="35" hidden="1" customWidth="1"/>
    <col min="14" max="14" width="19" style="1" customWidth="1"/>
    <col min="15" max="17" width="9.140625" style="1" customWidth="1"/>
    <col min="18" max="16384" width="8.85546875" style="1"/>
  </cols>
  <sheetData>
    <row r="1" spans="1:17">
      <c r="B1" s="1" t="s">
        <v>0</v>
      </c>
      <c r="F1" s="2"/>
      <c r="G1" s="2"/>
    </row>
    <row r="2" spans="1:17">
      <c r="E2" s="76" t="s">
        <v>1</v>
      </c>
      <c r="F2" s="75"/>
      <c r="G2" s="75"/>
      <c r="H2" s="75"/>
      <c r="I2" s="75"/>
      <c r="J2" s="75"/>
      <c r="K2" s="75"/>
      <c r="L2" s="75"/>
      <c r="M2" s="75"/>
      <c r="N2" s="75"/>
    </row>
    <row r="3" spans="1:17" s="3" customFormat="1" ht="18.75" customHeight="1">
      <c r="A3" s="77" t="s">
        <v>65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7" s="3" customFormat="1" ht="31.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7" ht="24.75" customHeight="1">
      <c r="A5" s="4"/>
      <c r="B5" s="4" t="s">
        <v>50</v>
      </c>
      <c r="C5" s="4" t="s">
        <v>2</v>
      </c>
      <c r="D5" s="5">
        <v>3889</v>
      </c>
      <c r="E5" s="5">
        <v>3889</v>
      </c>
      <c r="F5" s="6"/>
      <c r="G5" s="6"/>
      <c r="H5" s="7"/>
      <c r="I5" s="7"/>
      <c r="K5" s="4"/>
      <c r="L5" s="4"/>
    </row>
    <row r="6" spans="1:17" ht="20.25" customHeight="1">
      <c r="A6" s="80" t="s">
        <v>3</v>
      </c>
      <c r="B6" s="80"/>
      <c r="C6" s="80"/>
      <c r="D6" s="80"/>
      <c r="E6" s="80"/>
      <c r="F6" s="80"/>
      <c r="G6" s="80"/>
      <c r="H6" s="80"/>
      <c r="I6" s="80"/>
      <c r="K6" s="79" t="s">
        <v>48</v>
      </c>
      <c r="L6" s="79"/>
      <c r="M6" s="79"/>
    </row>
    <row r="7" spans="1:17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9"/>
      <c r="H7" s="10" t="s">
        <v>10</v>
      </c>
      <c r="I7" s="10" t="s">
        <v>9</v>
      </c>
      <c r="J7" s="10" t="s">
        <v>47</v>
      </c>
      <c r="K7" s="8" t="s">
        <v>49</v>
      </c>
      <c r="L7" s="8"/>
      <c r="M7" s="60"/>
      <c r="N7" s="44" t="s">
        <v>47</v>
      </c>
      <c r="O7" s="64"/>
      <c r="P7" s="64"/>
      <c r="Q7" s="64"/>
    </row>
    <row r="8" spans="1:17" ht="63">
      <c r="A8" s="8">
        <v>1</v>
      </c>
      <c r="B8" s="11" t="s">
        <v>14</v>
      </c>
      <c r="C8" s="8" t="s">
        <v>15</v>
      </c>
      <c r="D8" s="12">
        <v>0.91</v>
      </c>
      <c r="E8" s="12">
        <v>3889</v>
      </c>
      <c r="F8" s="9" t="s">
        <v>16</v>
      </c>
      <c r="G8" s="9">
        <v>12</v>
      </c>
      <c r="H8" s="13">
        <f t="shared" ref="H8:H26" si="0">D8*E8</f>
        <v>3538.9900000000002</v>
      </c>
      <c r="I8" s="13">
        <f t="shared" ref="I8:I26" si="1">H8*G8</f>
        <v>42467.880000000005</v>
      </c>
      <c r="J8" s="37">
        <f>I8/G8/E8</f>
        <v>0.91</v>
      </c>
      <c r="K8" s="31"/>
      <c r="L8" s="31"/>
      <c r="M8" s="61"/>
      <c r="N8" s="65">
        <f>J8*1.04*1.092*1.072*1.083</f>
        <v>1.1998324735488002</v>
      </c>
    </row>
    <row r="9" spans="1:17" ht="63">
      <c r="A9" s="8">
        <f t="shared" ref="A9:A26" si="2">A8+1</f>
        <v>2</v>
      </c>
      <c r="B9" s="30" t="s">
        <v>52</v>
      </c>
      <c r="C9" s="8" t="s">
        <v>15</v>
      </c>
      <c r="D9" s="12">
        <v>0.08</v>
      </c>
      <c r="E9" s="12">
        <v>3889</v>
      </c>
      <c r="F9" s="9" t="s">
        <v>16</v>
      </c>
      <c r="G9" s="9">
        <v>12</v>
      </c>
      <c r="H9" s="13">
        <f t="shared" si="0"/>
        <v>311.12</v>
      </c>
      <c r="I9" s="13">
        <f t="shared" si="1"/>
        <v>3733.44</v>
      </c>
      <c r="J9" s="37">
        <f t="shared" ref="J9:J26" si="3">I9/G9/E9</f>
        <v>0.08</v>
      </c>
      <c r="K9" s="31"/>
      <c r="L9" s="31"/>
      <c r="M9" s="61"/>
      <c r="N9" s="65">
        <f t="shared" ref="N9:N19" si="4">J9*1.04*1.092*1.072*1.083</f>
        <v>0.10547977789440002</v>
      </c>
    </row>
    <row r="10" spans="1:17" ht="63">
      <c r="A10" s="8">
        <f t="shared" si="2"/>
        <v>3</v>
      </c>
      <c r="B10" s="30" t="s">
        <v>18</v>
      </c>
      <c r="C10" s="8" t="s">
        <v>17</v>
      </c>
      <c r="D10" s="12">
        <v>0.16</v>
      </c>
      <c r="E10" s="12">
        <v>3889</v>
      </c>
      <c r="F10" s="9" t="s">
        <v>16</v>
      </c>
      <c r="G10" s="9">
        <v>12</v>
      </c>
      <c r="H10" s="13">
        <f t="shared" si="0"/>
        <v>622.24</v>
      </c>
      <c r="I10" s="13">
        <f t="shared" si="1"/>
        <v>7466.88</v>
      </c>
      <c r="J10" s="37">
        <f t="shared" si="3"/>
        <v>0.16</v>
      </c>
      <c r="K10" s="31"/>
      <c r="L10" s="31"/>
      <c r="M10" s="61"/>
      <c r="N10" s="65">
        <f t="shared" si="4"/>
        <v>0.21095955578880005</v>
      </c>
    </row>
    <row r="11" spans="1:17" ht="30" customHeight="1">
      <c r="A11" s="8">
        <f t="shared" si="2"/>
        <v>4</v>
      </c>
      <c r="B11" s="30" t="s">
        <v>19</v>
      </c>
      <c r="C11" s="8" t="s">
        <v>20</v>
      </c>
      <c r="D11" s="12">
        <v>7.0000000000000007E-2</v>
      </c>
      <c r="E11" s="12">
        <v>3889</v>
      </c>
      <c r="F11" s="9" t="s">
        <v>16</v>
      </c>
      <c r="G11" s="9">
        <v>12</v>
      </c>
      <c r="H11" s="13">
        <f t="shared" si="0"/>
        <v>272.23</v>
      </c>
      <c r="I11" s="13">
        <f t="shared" si="1"/>
        <v>3266.76</v>
      </c>
      <c r="J11" s="37">
        <f t="shared" si="3"/>
        <v>7.0000000000000007E-2</v>
      </c>
      <c r="K11" s="31"/>
      <c r="L11" s="31"/>
      <c r="M11" s="61"/>
      <c r="N11" s="65">
        <f t="shared" si="4"/>
        <v>9.2294805657600024E-2</v>
      </c>
    </row>
    <row r="12" spans="1:17" ht="78.75">
      <c r="A12" s="8">
        <f t="shared" si="2"/>
        <v>5</v>
      </c>
      <c r="B12" s="30" t="s">
        <v>21</v>
      </c>
      <c r="C12" s="8" t="s">
        <v>22</v>
      </c>
      <c r="D12" s="12">
        <v>0.04</v>
      </c>
      <c r="E12" s="12">
        <v>3889</v>
      </c>
      <c r="F12" s="9" t="s">
        <v>16</v>
      </c>
      <c r="G12" s="9">
        <v>12</v>
      </c>
      <c r="H12" s="13">
        <f t="shared" si="0"/>
        <v>155.56</v>
      </c>
      <c r="I12" s="13">
        <f t="shared" si="1"/>
        <v>1866.72</v>
      </c>
      <c r="J12" s="37">
        <f t="shared" si="3"/>
        <v>0.04</v>
      </c>
      <c r="K12" s="31"/>
      <c r="L12" s="31"/>
      <c r="M12" s="61"/>
      <c r="N12" s="65">
        <f t="shared" si="4"/>
        <v>5.2739888947200012E-2</v>
      </c>
    </row>
    <row r="13" spans="1:17" ht="63">
      <c r="A13" s="8">
        <f t="shared" si="2"/>
        <v>6</v>
      </c>
      <c r="B13" s="30" t="s">
        <v>24</v>
      </c>
      <c r="C13" s="8" t="s">
        <v>25</v>
      </c>
      <c r="D13" s="12">
        <v>0.2</v>
      </c>
      <c r="E13" s="12">
        <v>3889</v>
      </c>
      <c r="F13" s="9" t="s">
        <v>16</v>
      </c>
      <c r="G13" s="9">
        <v>12</v>
      </c>
      <c r="H13" s="13">
        <f t="shared" si="0"/>
        <v>777.80000000000007</v>
      </c>
      <c r="I13" s="13">
        <f t="shared" si="1"/>
        <v>9333.6</v>
      </c>
      <c r="J13" s="37">
        <f t="shared" si="3"/>
        <v>0.2</v>
      </c>
      <c r="K13" s="31"/>
      <c r="L13" s="31"/>
      <c r="M13" s="61"/>
      <c r="N13" s="65">
        <f t="shared" si="4"/>
        <v>0.26369944473600004</v>
      </c>
    </row>
    <row r="14" spans="1:17" ht="63">
      <c r="A14" s="8">
        <f t="shared" si="2"/>
        <v>7</v>
      </c>
      <c r="B14" s="30" t="s">
        <v>53</v>
      </c>
      <c r="C14" s="8" t="s">
        <v>27</v>
      </c>
      <c r="D14" s="12">
        <v>0.18000000000000002</v>
      </c>
      <c r="E14" s="12">
        <v>3889</v>
      </c>
      <c r="F14" s="9" t="s">
        <v>16</v>
      </c>
      <c r="G14" s="9">
        <v>12</v>
      </c>
      <c r="H14" s="13">
        <f t="shared" si="0"/>
        <v>700.0200000000001</v>
      </c>
      <c r="I14" s="13">
        <f t="shared" si="1"/>
        <v>8400.2400000000016</v>
      </c>
      <c r="J14" s="37">
        <f t="shared" si="3"/>
        <v>0.18000000000000002</v>
      </c>
      <c r="K14" s="31"/>
      <c r="L14" s="31"/>
      <c r="M14" s="61"/>
      <c r="N14" s="65">
        <f t="shared" si="4"/>
        <v>0.23732950026240007</v>
      </c>
    </row>
    <row r="15" spans="1:17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3889</v>
      </c>
      <c r="F15" s="9" t="s">
        <v>16</v>
      </c>
      <c r="G15" s="9">
        <v>12</v>
      </c>
      <c r="H15" s="13">
        <f t="shared" si="0"/>
        <v>738.91</v>
      </c>
      <c r="I15" s="13">
        <f t="shared" si="1"/>
        <v>8866.92</v>
      </c>
      <c r="J15" s="37">
        <f t="shared" si="3"/>
        <v>0.19</v>
      </c>
      <c r="K15" s="31"/>
      <c r="L15" s="31"/>
      <c r="M15" s="61"/>
      <c r="N15" s="65">
        <f t="shared" si="4"/>
        <v>0.2505144724992</v>
      </c>
    </row>
    <row r="16" spans="1:17" ht="33" customHeight="1">
      <c r="A16" s="8">
        <f t="shared" si="2"/>
        <v>9</v>
      </c>
      <c r="B16" s="11" t="s">
        <v>54</v>
      </c>
      <c r="C16" s="8" t="s">
        <v>15</v>
      </c>
      <c r="D16" s="12">
        <v>0.52</v>
      </c>
      <c r="E16" s="12">
        <v>3889</v>
      </c>
      <c r="F16" s="15" t="s">
        <v>56</v>
      </c>
      <c r="G16" s="9">
        <v>12</v>
      </c>
      <c r="H16" s="13">
        <f t="shared" si="0"/>
        <v>2022.28</v>
      </c>
      <c r="I16" s="13">
        <f t="shared" si="1"/>
        <v>24267.360000000001</v>
      </c>
      <c r="J16" s="37">
        <f t="shared" si="3"/>
        <v>0.52</v>
      </c>
      <c r="K16" s="31"/>
      <c r="L16" s="31"/>
      <c r="M16" s="61"/>
      <c r="N16" s="65">
        <f t="shared" si="4"/>
        <v>0.68561855631360014</v>
      </c>
    </row>
    <row r="17" spans="1:15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3889</v>
      </c>
      <c r="F17" s="15" t="s">
        <v>56</v>
      </c>
      <c r="G17" s="9">
        <v>12</v>
      </c>
      <c r="H17" s="13">
        <f t="shared" si="0"/>
        <v>1711.16</v>
      </c>
      <c r="I17" s="13">
        <f t="shared" si="1"/>
        <v>20533.920000000002</v>
      </c>
      <c r="J17" s="37">
        <f t="shared" si="3"/>
        <v>0.44</v>
      </c>
      <c r="K17" s="31"/>
      <c r="L17" s="31"/>
      <c r="M17" s="61"/>
      <c r="N17" s="65">
        <f t="shared" si="4"/>
        <v>0.58013877841920003</v>
      </c>
    </row>
    <row r="18" spans="1:15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3889</v>
      </c>
      <c r="F18" s="9" t="s">
        <v>31</v>
      </c>
      <c r="G18" s="9">
        <v>12</v>
      </c>
      <c r="H18" s="13">
        <f t="shared" si="0"/>
        <v>194.45000000000002</v>
      </c>
      <c r="I18" s="13">
        <f t="shared" si="1"/>
        <v>2333.4</v>
      </c>
      <c r="J18" s="37">
        <f t="shared" si="3"/>
        <v>0.05</v>
      </c>
      <c r="K18" s="31"/>
      <c r="L18" s="31"/>
      <c r="M18" s="61"/>
      <c r="N18" s="65">
        <f t="shared" si="4"/>
        <v>6.5924861184000011E-2</v>
      </c>
    </row>
    <row r="19" spans="1:15" ht="81.599999999999994" customHeight="1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3889</v>
      </c>
      <c r="F19" s="9" t="s">
        <v>61</v>
      </c>
      <c r="G19" s="9">
        <v>12</v>
      </c>
      <c r="H19" s="13">
        <f t="shared" si="0"/>
        <v>311.12</v>
      </c>
      <c r="I19" s="13">
        <f t="shared" si="1"/>
        <v>3733.44</v>
      </c>
      <c r="J19" s="37">
        <f t="shared" si="3"/>
        <v>0.08</v>
      </c>
      <c r="K19" s="31"/>
      <c r="L19" s="31"/>
      <c r="M19" s="61"/>
      <c r="N19" s="65">
        <f t="shared" si="4"/>
        <v>0.10547977789440002</v>
      </c>
    </row>
    <row r="20" spans="1:15" ht="31.5">
      <c r="A20" s="8">
        <f t="shared" si="2"/>
        <v>13</v>
      </c>
      <c r="B20" s="11" t="s">
        <v>33</v>
      </c>
      <c r="C20" s="8" t="s">
        <v>34</v>
      </c>
      <c r="D20" s="12">
        <v>0.52</v>
      </c>
      <c r="E20" s="12">
        <v>3889</v>
      </c>
      <c r="F20" s="9" t="s">
        <v>23</v>
      </c>
      <c r="G20" s="9">
        <v>12</v>
      </c>
      <c r="H20" s="13">
        <f t="shared" si="0"/>
        <v>2022.28</v>
      </c>
      <c r="I20" s="13">
        <f t="shared" si="1"/>
        <v>24267.360000000001</v>
      </c>
      <c r="J20" s="37">
        <f t="shared" si="3"/>
        <v>0.52</v>
      </c>
      <c r="K20" s="31">
        <v>23200</v>
      </c>
      <c r="L20" s="31">
        <f>K20/12/E20</f>
        <v>0.49712865346704377</v>
      </c>
      <c r="M20" s="61"/>
      <c r="N20" s="69">
        <f>(J20*1.04*1.092*1.072+0.16)*1.083</f>
        <v>0.85889855631360013</v>
      </c>
      <c r="O20" s="27"/>
    </row>
    <row r="21" spans="1:15" ht="31.5">
      <c r="A21" s="8">
        <f t="shared" si="2"/>
        <v>14</v>
      </c>
      <c r="B21" s="41" t="s">
        <v>55</v>
      </c>
      <c r="C21" s="8" t="s">
        <v>35</v>
      </c>
      <c r="D21" s="12">
        <v>1.63</v>
      </c>
      <c r="E21" s="12">
        <v>3889</v>
      </c>
      <c r="F21" s="15" t="s">
        <v>56</v>
      </c>
      <c r="G21" s="9">
        <v>12</v>
      </c>
      <c r="H21" s="13">
        <f t="shared" si="0"/>
        <v>6339.07</v>
      </c>
      <c r="I21" s="13">
        <f t="shared" si="1"/>
        <v>76068.84</v>
      </c>
      <c r="J21" s="37">
        <f t="shared" si="3"/>
        <v>1.63</v>
      </c>
      <c r="K21" s="31">
        <v>339.3</v>
      </c>
      <c r="L21" s="31">
        <f>(4372.12+1006+42.41)*12</f>
        <v>65046.36</v>
      </c>
      <c r="M21" s="61">
        <f>L21*0.06+L21</f>
        <v>68949.141600000003</v>
      </c>
      <c r="N21" s="65">
        <f>J21*1.04*1.092*1.072*1.083</f>
        <v>2.1491504745984003</v>
      </c>
    </row>
    <row r="22" spans="1:15" ht="47.25">
      <c r="A22" s="8">
        <f t="shared" si="2"/>
        <v>15</v>
      </c>
      <c r="B22" s="41" t="s">
        <v>63</v>
      </c>
      <c r="C22" s="8" t="s">
        <v>36</v>
      </c>
      <c r="D22" s="12">
        <v>2.96</v>
      </c>
      <c r="E22" s="12">
        <v>3889</v>
      </c>
      <c r="F22" s="9" t="s">
        <v>37</v>
      </c>
      <c r="G22" s="9">
        <v>12</v>
      </c>
      <c r="H22" s="13">
        <f t="shared" si="0"/>
        <v>11511.44</v>
      </c>
      <c r="I22" s="13">
        <f t="shared" si="1"/>
        <v>138137.28</v>
      </c>
      <c r="J22" s="37">
        <f t="shared" si="3"/>
        <v>2.96</v>
      </c>
      <c r="K22" s="31">
        <v>870</v>
      </c>
      <c r="L22" s="31">
        <f>(5162.43+1006+488.82)*12</f>
        <v>79887</v>
      </c>
      <c r="M22" s="61">
        <f>L22*0.06+L22</f>
        <v>84680.22</v>
      </c>
      <c r="N22" s="65">
        <f>J22*1.04*1.092*1.072*1.083</f>
        <v>3.902751782092801</v>
      </c>
    </row>
    <row r="23" spans="1:15" ht="31.5">
      <c r="A23" s="8">
        <f t="shared" si="2"/>
        <v>16</v>
      </c>
      <c r="B23" s="16" t="s">
        <v>38</v>
      </c>
      <c r="C23" s="17" t="s">
        <v>39</v>
      </c>
      <c r="D23" s="68">
        <f>5918.58*1.083</f>
        <v>6409.8221399999993</v>
      </c>
      <c r="E23" s="12">
        <v>2</v>
      </c>
      <c r="F23" s="15" t="s">
        <v>56</v>
      </c>
      <c r="G23" s="9">
        <v>12</v>
      </c>
      <c r="H23" s="13">
        <f t="shared" si="0"/>
        <v>12819.644279999999</v>
      </c>
      <c r="I23" s="13">
        <f t="shared" si="1"/>
        <v>153835.73135999998</v>
      </c>
      <c r="J23" s="37">
        <f>I23/12/D5</f>
        <v>3.2963857752635635</v>
      </c>
      <c r="K23" s="31"/>
      <c r="L23" s="31"/>
      <c r="M23" s="61"/>
      <c r="N23" s="65">
        <f>D23*E23/E22</f>
        <v>3.2963857752635635</v>
      </c>
    </row>
    <row r="24" spans="1:15">
      <c r="A24" s="8">
        <f t="shared" si="2"/>
        <v>17</v>
      </c>
      <c r="B24" s="16" t="s">
        <v>40</v>
      </c>
      <c r="C24" s="17" t="s">
        <v>15</v>
      </c>
      <c r="D24" s="12">
        <v>1.6400000000000001</v>
      </c>
      <c r="E24" s="12">
        <v>3889</v>
      </c>
      <c r="F24" s="15" t="s">
        <v>56</v>
      </c>
      <c r="G24" s="9">
        <v>12</v>
      </c>
      <c r="H24" s="13">
        <f t="shared" si="0"/>
        <v>6377.96</v>
      </c>
      <c r="I24" s="13">
        <f t="shared" si="1"/>
        <v>76535.520000000004</v>
      </c>
      <c r="J24" s="37">
        <f t="shared" si="3"/>
        <v>1.64</v>
      </c>
      <c r="K24" s="31"/>
      <c r="L24" s="31"/>
      <c r="M24" s="61"/>
      <c r="N24" s="65">
        <f>J24*1.04*1.092*1.072*1.083</f>
        <v>2.1623354468352001</v>
      </c>
    </row>
    <row r="25" spans="1:15">
      <c r="A25" s="8">
        <f t="shared" si="2"/>
        <v>18</v>
      </c>
      <c r="B25" s="16" t="s">
        <v>41</v>
      </c>
      <c r="C25" s="17" t="s">
        <v>42</v>
      </c>
      <c r="D25" s="12">
        <v>0.13</v>
      </c>
      <c r="E25" s="12">
        <v>3889</v>
      </c>
      <c r="F25" s="15" t="s">
        <v>56</v>
      </c>
      <c r="G25" s="9">
        <v>12</v>
      </c>
      <c r="H25" s="13">
        <f t="shared" si="0"/>
        <v>505.57</v>
      </c>
      <c r="I25" s="13">
        <f t="shared" si="1"/>
        <v>6066.84</v>
      </c>
      <c r="J25" s="37">
        <f t="shared" si="3"/>
        <v>0.13</v>
      </c>
      <c r="K25" s="31"/>
      <c r="L25" s="31"/>
      <c r="M25" s="61"/>
      <c r="N25" s="65">
        <f t="shared" ref="N25:N26" si="5">J25*1.04*1.092*1.072*1.083</f>
        <v>0.17140463907840003</v>
      </c>
    </row>
    <row r="26" spans="1:15" ht="48.75" customHeight="1">
      <c r="A26" s="8">
        <f t="shared" si="2"/>
        <v>19</v>
      </c>
      <c r="B26" s="29" t="s">
        <v>43</v>
      </c>
      <c r="C26" s="14" t="s">
        <v>15</v>
      </c>
      <c r="D26" s="12">
        <v>1.27</v>
      </c>
      <c r="E26" s="12">
        <v>3889</v>
      </c>
      <c r="F26" s="15" t="s">
        <v>56</v>
      </c>
      <c r="G26" s="9">
        <v>12</v>
      </c>
      <c r="H26" s="13">
        <f t="shared" si="0"/>
        <v>4939.03</v>
      </c>
      <c r="I26" s="13">
        <f t="shared" si="1"/>
        <v>59268.36</v>
      </c>
      <c r="J26" s="37">
        <f t="shared" si="3"/>
        <v>1.27</v>
      </c>
      <c r="K26" s="31"/>
      <c r="L26" s="31"/>
      <c r="M26" s="61"/>
      <c r="N26" s="65">
        <f t="shared" si="5"/>
        <v>1.6744914740736001</v>
      </c>
    </row>
    <row r="27" spans="1:15" s="43" customFormat="1">
      <c r="A27" s="81" t="s">
        <v>58</v>
      </c>
      <c r="B27" s="82"/>
      <c r="C27" s="81"/>
      <c r="D27" s="81"/>
      <c r="E27" s="81"/>
      <c r="F27" s="81"/>
      <c r="G27" s="49">
        <f>I27/12/D5</f>
        <v>14.366385775263563</v>
      </c>
      <c r="H27" s="50">
        <f>SUM(H8:H26)</f>
        <v>55870.874280000004</v>
      </c>
      <c r="I27" s="50">
        <f>SUM(I8:I26)</f>
        <v>670450.49135999999</v>
      </c>
      <c r="J27" s="50">
        <f>SUM(J8:J26)</f>
        <v>14.366385775263565</v>
      </c>
      <c r="K27" s="50">
        <f t="shared" ref="K27:N27" si="6">SUM(K8:K26)</f>
        <v>24409.3</v>
      </c>
      <c r="L27" s="50">
        <f t="shared" si="6"/>
        <v>144933.85712865347</v>
      </c>
      <c r="M27" s="50">
        <f t="shared" si="6"/>
        <v>153629.3616</v>
      </c>
      <c r="N27" s="50">
        <f>SUM(N8:N26)-0.01</f>
        <v>18.055430041401166</v>
      </c>
    </row>
    <row r="28" spans="1:15" s="3" customFormat="1">
      <c r="A28" s="78" t="s">
        <v>44</v>
      </c>
      <c r="B28" s="78"/>
      <c r="C28" s="78"/>
      <c r="D28" s="78"/>
      <c r="E28" s="78"/>
      <c r="F28" s="78"/>
      <c r="G28" s="78"/>
      <c r="H28" s="78"/>
      <c r="I28" s="78"/>
      <c r="J28" s="36"/>
      <c r="K28" s="36"/>
      <c r="L28" s="36"/>
      <c r="M28" s="36"/>
      <c r="N28" s="66"/>
    </row>
    <row r="29" spans="1:15" s="3" customFormat="1" ht="56.25" customHeight="1">
      <c r="A29" s="44" t="s">
        <v>4</v>
      </c>
      <c r="B29" s="44" t="s">
        <v>5</v>
      </c>
      <c r="C29" s="44" t="s">
        <v>6</v>
      </c>
      <c r="D29" s="44" t="s">
        <v>7</v>
      </c>
      <c r="E29" s="44" t="s">
        <v>8</v>
      </c>
      <c r="F29" s="45" t="s">
        <v>57</v>
      </c>
      <c r="G29" s="45"/>
      <c r="H29" s="44" t="s">
        <v>10</v>
      </c>
      <c r="I29" s="44" t="s">
        <v>9</v>
      </c>
      <c r="J29" s="44" t="s">
        <v>47</v>
      </c>
      <c r="K29" s="44"/>
      <c r="L29" s="44"/>
      <c r="M29" s="62"/>
      <c r="N29" s="44" t="s">
        <v>47</v>
      </c>
    </row>
    <row r="30" spans="1:15" s="3" customFormat="1" ht="28.15" customHeight="1">
      <c r="A30" s="44">
        <v>1</v>
      </c>
      <c r="B30" s="46" t="s">
        <v>44</v>
      </c>
      <c r="C30" s="47"/>
      <c r="D30" s="19">
        <v>2.0699999999999998</v>
      </c>
      <c r="E30" s="44">
        <v>3889</v>
      </c>
      <c r="F30" s="45" t="s">
        <v>45</v>
      </c>
      <c r="G30" s="45">
        <v>12</v>
      </c>
      <c r="H30" s="32"/>
      <c r="I30" s="32">
        <f>D30*E30*G30</f>
        <v>96602.76</v>
      </c>
      <c r="J30" s="38">
        <f>I30/G30/E30</f>
        <v>2.0699999999999998</v>
      </c>
      <c r="K30" s="32"/>
      <c r="L30" s="32"/>
      <c r="M30" s="63"/>
      <c r="N30" s="66">
        <f>(J30*1.04*1.092*1.072+0.62)*1.083</f>
        <v>3.4007492530176004</v>
      </c>
    </row>
    <row r="31" spans="1:15" s="3" customFormat="1" ht="36.6" customHeight="1">
      <c r="A31" s="44">
        <v>2</v>
      </c>
      <c r="B31" s="30" t="s">
        <v>11</v>
      </c>
      <c r="C31" s="44" t="s">
        <v>12</v>
      </c>
      <c r="D31" s="68">
        <f>15.97*1.072*1.083</f>
        <v>18.54078672</v>
      </c>
      <c r="E31" s="19">
        <v>1800</v>
      </c>
      <c r="F31" s="45" t="s">
        <v>45</v>
      </c>
      <c r="G31" s="45">
        <v>1</v>
      </c>
      <c r="H31" s="32">
        <f>D31*E31</f>
        <v>33373.416096000001</v>
      </c>
      <c r="I31" s="32">
        <f>H31*G31</f>
        <v>33373.416096000001</v>
      </c>
      <c r="J31" s="38">
        <f>I31/12/E30</f>
        <v>0.71512419850861397</v>
      </c>
      <c r="K31" s="32"/>
      <c r="L31" s="32"/>
      <c r="M31" s="63"/>
      <c r="N31" s="66">
        <f>D31*E31/E30/12</f>
        <v>0.71512419850861397</v>
      </c>
    </row>
    <row r="32" spans="1:15" s="3" customFormat="1" ht="34.5" customHeight="1">
      <c r="A32" s="44">
        <f>A31+1</f>
        <v>3</v>
      </c>
      <c r="B32" s="30" t="s">
        <v>13</v>
      </c>
      <c r="C32" s="44" t="s">
        <v>12</v>
      </c>
      <c r="D32" s="68">
        <f>11.52*1.072*1.083</f>
        <v>13.37444352</v>
      </c>
      <c r="E32" s="19">
        <v>1800</v>
      </c>
      <c r="F32" s="45" t="s">
        <v>45</v>
      </c>
      <c r="G32" s="45">
        <v>1</v>
      </c>
      <c r="H32" s="32">
        <f>D32*E32</f>
        <v>24073.998336000001</v>
      </c>
      <c r="I32" s="32">
        <f>H32*G32</f>
        <v>24073.998336000001</v>
      </c>
      <c r="J32" s="38">
        <f>I32/12/E30</f>
        <v>0.51585665415273851</v>
      </c>
      <c r="K32" s="32"/>
      <c r="L32" s="32"/>
      <c r="M32" s="63"/>
      <c r="N32" s="66">
        <f>D32*E32/E30/12</f>
        <v>0.51585665415273851</v>
      </c>
    </row>
    <row r="33" spans="1:15" s="48" customFormat="1">
      <c r="A33" s="83" t="s">
        <v>58</v>
      </c>
      <c r="B33" s="83"/>
      <c r="C33" s="83"/>
      <c r="D33" s="83"/>
      <c r="E33" s="83"/>
      <c r="F33" s="83"/>
      <c r="G33" s="52"/>
      <c r="H33" s="53"/>
      <c r="I33" s="54">
        <f>SUM(I30:I32)</f>
        <v>154050.174432</v>
      </c>
      <c r="J33" s="54">
        <f>SUM(J30:J32)</f>
        <v>3.3009808526613522</v>
      </c>
      <c r="K33" s="54">
        <f t="shared" ref="K33:N33" si="7">SUM(K30:K32)</f>
        <v>0</v>
      </c>
      <c r="L33" s="54">
        <f t="shared" si="7"/>
        <v>0</v>
      </c>
      <c r="M33" s="54">
        <f t="shared" si="7"/>
        <v>0</v>
      </c>
      <c r="N33" s="54">
        <f>SUM(N30:N32)+0.01</f>
        <v>4.6417301056789526</v>
      </c>
    </row>
    <row r="34" spans="1:15" s="43" customFormat="1">
      <c r="A34" s="81" t="s">
        <v>60</v>
      </c>
      <c r="B34" s="81"/>
      <c r="C34" s="81"/>
      <c r="D34" s="81"/>
      <c r="E34" s="81"/>
      <c r="F34" s="81"/>
      <c r="G34" s="55">
        <f>I34/12/E30</f>
        <v>17.667366627924917</v>
      </c>
      <c r="H34" s="50"/>
      <c r="I34" s="50">
        <f>SUM(I27+I33)</f>
        <v>824500.66579200001</v>
      </c>
      <c r="J34" s="51">
        <f>J27+J33</f>
        <v>17.667366627924917</v>
      </c>
      <c r="K34" s="51">
        <f t="shared" ref="K34:N34" si="8">K27+K33</f>
        <v>24409.3</v>
      </c>
      <c r="L34" s="51">
        <f t="shared" si="8"/>
        <v>144933.85712865347</v>
      </c>
      <c r="M34" s="51">
        <f t="shared" si="8"/>
        <v>153629.3616</v>
      </c>
      <c r="N34" s="51">
        <f t="shared" si="8"/>
        <v>22.697160147080119</v>
      </c>
    </row>
    <row r="35" spans="1:15" ht="18">
      <c r="A35" s="78" t="s">
        <v>59</v>
      </c>
      <c r="B35" s="78"/>
      <c r="C35" s="78"/>
      <c r="D35" s="78"/>
      <c r="E35" s="78"/>
      <c r="F35" s="78"/>
      <c r="G35" s="78"/>
      <c r="H35" s="78"/>
      <c r="I35" s="78"/>
      <c r="N35" s="73"/>
      <c r="O35" s="74"/>
    </row>
    <row r="36" spans="1:15" ht="63">
      <c r="A36" s="28">
        <v>1</v>
      </c>
      <c r="B36" s="30" t="s">
        <v>64</v>
      </c>
      <c r="C36" s="18" t="s">
        <v>15</v>
      </c>
      <c r="D36" s="19">
        <v>2.0299999999999998</v>
      </c>
      <c r="E36" s="12">
        <v>3889</v>
      </c>
      <c r="F36" s="15" t="s">
        <v>26</v>
      </c>
      <c r="G36" s="9">
        <v>12</v>
      </c>
      <c r="H36" s="13">
        <f>D36*E36</f>
        <v>7894.6699999999992</v>
      </c>
      <c r="I36" s="13">
        <f>H36*G36</f>
        <v>94736.04</v>
      </c>
      <c r="J36" s="37">
        <f>I36/G36/E36</f>
        <v>2.0299999999999998</v>
      </c>
      <c r="N36" s="65">
        <v>2.52</v>
      </c>
    </row>
    <row r="37" spans="1:15">
      <c r="A37" s="70" t="s">
        <v>62</v>
      </c>
      <c r="B37" s="71"/>
      <c r="C37" s="71"/>
      <c r="D37" s="71"/>
      <c r="E37" s="71"/>
      <c r="F37" s="72"/>
      <c r="G37" s="56">
        <f>G34+D36</f>
        <v>19.697366627924918</v>
      </c>
      <c r="H37" s="57"/>
      <c r="I37" s="58">
        <f>I36+I34</f>
        <v>919236.70579200005</v>
      </c>
      <c r="J37" s="59">
        <f>J36+J34</f>
        <v>19.697366627924918</v>
      </c>
      <c r="K37" s="59">
        <f t="shared" ref="K37:N37" si="9">K36+K34</f>
        <v>24409.3</v>
      </c>
      <c r="L37" s="59">
        <f t="shared" si="9"/>
        <v>144933.85712865347</v>
      </c>
      <c r="M37" s="59">
        <f t="shared" si="9"/>
        <v>153629.3616</v>
      </c>
      <c r="N37" s="67">
        <f t="shared" si="9"/>
        <v>25.217160147080119</v>
      </c>
    </row>
    <row r="38" spans="1:15">
      <c r="A38" s="42"/>
      <c r="B38" s="42"/>
      <c r="C38" s="42"/>
      <c r="D38" s="42"/>
      <c r="E38" s="42"/>
      <c r="F38" s="42"/>
      <c r="G38" s="42"/>
      <c r="H38" s="42"/>
      <c r="I38" s="42"/>
    </row>
    <row r="39" spans="1:15" ht="13.15" customHeight="1">
      <c r="A39" s="20" t="s">
        <v>46</v>
      </c>
      <c r="B39" s="84" t="s">
        <v>51</v>
      </c>
      <c r="C39" s="84"/>
      <c r="D39" s="84"/>
      <c r="E39" s="84"/>
      <c r="F39" s="84"/>
      <c r="G39" s="84"/>
      <c r="H39" s="84"/>
      <c r="I39" s="84"/>
      <c r="J39" s="85"/>
      <c r="K39" s="85"/>
      <c r="L39" s="85"/>
      <c r="M39" s="85"/>
      <c r="N39" s="85"/>
    </row>
    <row r="40" spans="1:15">
      <c r="A40" s="21"/>
      <c r="B40" s="84"/>
      <c r="C40" s="84"/>
      <c r="D40" s="84"/>
      <c r="E40" s="84"/>
      <c r="F40" s="84"/>
      <c r="G40" s="84"/>
      <c r="H40" s="84"/>
      <c r="I40" s="84"/>
      <c r="J40" s="85"/>
      <c r="K40" s="85"/>
      <c r="L40" s="85"/>
      <c r="M40" s="85"/>
      <c r="N40" s="85"/>
    </row>
    <row r="41" spans="1:15" ht="39" customHeight="1">
      <c r="A41" s="21"/>
      <c r="B41" s="84"/>
      <c r="C41" s="84"/>
      <c r="D41" s="84"/>
      <c r="E41" s="84"/>
      <c r="F41" s="84"/>
      <c r="G41" s="84"/>
      <c r="H41" s="84"/>
      <c r="I41" s="84"/>
      <c r="J41" s="85"/>
      <c r="K41" s="85"/>
      <c r="L41" s="85"/>
      <c r="M41" s="85"/>
      <c r="N41" s="85"/>
    </row>
    <row r="42" spans="1:15">
      <c r="A42" s="21"/>
      <c r="B42" s="21"/>
      <c r="C42" s="21"/>
      <c r="D42" s="21"/>
      <c r="E42" s="21"/>
      <c r="F42" s="22"/>
      <c r="G42" s="22"/>
      <c r="H42" s="21"/>
      <c r="I42" s="21"/>
      <c r="K42" s="33"/>
      <c r="L42" s="33"/>
    </row>
    <row r="43" spans="1:15" s="25" customFormat="1">
      <c r="A43" s="23"/>
      <c r="B43" s="24"/>
      <c r="C43" s="23"/>
      <c r="D43" s="24"/>
      <c r="F43" s="26"/>
      <c r="G43" s="26"/>
      <c r="H43" s="23"/>
      <c r="I43" s="23"/>
      <c r="J43" s="39"/>
      <c r="K43" s="34"/>
      <c r="L43" s="34"/>
      <c r="M43" s="39"/>
    </row>
    <row r="44" spans="1:15" s="25" customFormat="1" ht="37.9" customHeight="1">
      <c r="A44" s="23"/>
      <c r="B44" s="23"/>
      <c r="C44" s="23"/>
      <c r="D44" s="24"/>
      <c r="E44" s="23"/>
      <c r="F44" s="26"/>
      <c r="G44" s="26"/>
      <c r="H44" s="23"/>
      <c r="I44" s="23"/>
      <c r="J44" s="40"/>
      <c r="K44" s="34"/>
      <c r="L44" s="34"/>
      <c r="M44" s="39"/>
    </row>
  </sheetData>
  <mergeCells count="12">
    <mergeCell ref="A37:F37"/>
    <mergeCell ref="N35:O35"/>
    <mergeCell ref="B39:N41"/>
    <mergeCell ref="E2:N2"/>
    <mergeCell ref="A3:N4"/>
    <mergeCell ref="A35:I35"/>
    <mergeCell ref="K6:M6"/>
    <mergeCell ref="A28:I28"/>
    <mergeCell ref="A6:I6"/>
    <mergeCell ref="A27:F27"/>
    <mergeCell ref="A33:F33"/>
    <mergeCell ref="A34:F34"/>
  </mergeCells>
  <printOptions horizontalCentered="1" verticalCentered="1"/>
  <pageMargins left="0.11811023622047245" right="0.11811023622047245" top="0.11811023622047245" bottom="0.11811023622047245" header="0.11811023622047245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2025-02-03T08:07:25Z</dcterms:modified>
</cp:coreProperties>
</file>